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460" yWindow="-80" windowWidth="24800" windowHeight="16140" tabRatio="500"/>
  </bookViews>
  <sheets>
    <sheet name="Sheet1" sheetId="1" r:id="rId1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65" i="1"/>
  <c r="B64"/>
  <c r="B63"/>
  <c r="B62"/>
  <c r="B5"/>
  <c r="C17"/>
  <c r="B56"/>
  <c r="B55"/>
  <c r="B54"/>
  <c r="C53"/>
  <c r="B53"/>
  <c r="C52"/>
  <c r="B52"/>
  <c r="B51"/>
  <c r="B50"/>
  <c r="B49"/>
  <c r="C48"/>
  <c r="B48"/>
  <c r="C47"/>
  <c r="B47"/>
  <c r="B46"/>
  <c r="B45"/>
  <c r="C44"/>
  <c r="B44"/>
  <c r="B43"/>
  <c r="B42"/>
  <c r="B41"/>
  <c r="B40"/>
  <c r="C39"/>
  <c r="B39"/>
  <c r="C38"/>
  <c r="B38"/>
  <c r="C37"/>
  <c r="B37"/>
  <c r="C36"/>
  <c r="B36"/>
  <c r="B34"/>
  <c r="B32"/>
  <c r="B31"/>
  <c r="B30"/>
  <c r="C24"/>
  <c r="B24"/>
  <c r="C23"/>
  <c r="B23"/>
  <c r="C22"/>
  <c r="B22"/>
  <c r="C21"/>
  <c r="C20"/>
  <c r="B20"/>
  <c r="C19"/>
  <c r="B19"/>
  <c r="C18"/>
  <c r="B18"/>
  <c r="B17"/>
  <c r="C16"/>
  <c r="B16"/>
  <c r="C15"/>
  <c r="B15"/>
  <c r="C14"/>
  <c r="B14"/>
  <c r="C13"/>
  <c r="B13"/>
  <c r="C12"/>
  <c r="B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<sst xmlns="http://schemas.openxmlformats.org/spreadsheetml/2006/main" count="61" uniqueCount="61">
  <si>
    <t>Distance focus to DM</t>
    <phoneticPr fontId="4" type="noConversion"/>
  </si>
  <si>
    <t>Distance Neg mirror to DM</t>
    <phoneticPr fontId="4" type="noConversion"/>
  </si>
  <si>
    <t>Distance from the BRT primar to the input pupil</t>
    <phoneticPr fontId="4" type="noConversion"/>
  </si>
  <si>
    <t>Pupil Image positioon past focus</t>
    <phoneticPr fontId="4" type="noConversion"/>
  </si>
  <si>
    <t>Zemax Calcs</t>
    <phoneticPr fontId="4" type="noConversion"/>
  </si>
  <si>
    <t>Angle neg mirror to DM (before coord break)</t>
    <phoneticPr fontId="4" type="noConversion"/>
  </si>
  <si>
    <t>Extra tilt needed</t>
    <phoneticPr fontId="4" type="noConversion"/>
  </si>
  <si>
    <t>DM tilt angle to beam</t>
    <phoneticPr fontId="4" type="noConversion"/>
  </si>
  <si>
    <t>Paraboloid Radois</t>
    <phoneticPr fontId="4" type="noConversion"/>
  </si>
  <si>
    <t>DM Angle</t>
    <phoneticPr fontId="4" type="noConversion"/>
  </si>
  <si>
    <t>DM Corner x position</t>
    <phoneticPr fontId="4" type="noConversion"/>
  </si>
  <si>
    <t>DM Corner z position</t>
    <phoneticPr fontId="4" type="noConversion"/>
  </si>
  <si>
    <t>DM Corner beam clearance</t>
    <phoneticPr fontId="4" type="noConversion"/>
  </si>
  <si>
    <t>pupil center angle</t>
    <phoneticPr fontId="4" type="noConversion"/>
  </si>
  <si>
    <t>Angle DM to paraboloid 1</t>
    <phoneticPr fontId="4" type="noConversion"/>
  </si>
  <si>
    <t>Angle DM to paraboloid 2</t>
    <phoneticPr fontId="4" type="noConversion"/>
  </si>
  <si>
    <t>Paraboloid 2 x position</t>
    <phoneticPr fontId="4" type="noConversion"/>
  </si>
  <si>
    <t>DM2 Angle</t>
    <phoneticPr fontId="4" type="noConversion"/>
  </si>
  <si>
    <t>DM2 corner x position</t>
    <phoneticPr fontId="4" type="noConversion"/>
  </si>
  <si>
    <t>DM2 corner clearance to small beam</t>
    <phoneticPr fontId="4" type="noConversion"/>
  </si>
  <si>
    <t>Now for setup "2"</t>
    <phoneticPr fontId="4" type="noConversion"/>
  </si>
  <si>
    <t>Small beam clearance to neg mirror beam</t>
    <phoneticPr fontId="4" type="noConversion"/>
  </si>
  <si>
    <t>Paraboloid 2 z position</t>
    <phoneticPr fontId="4" type="noConversion"/>
  </si>
  <si>
    <t>Distance from DM to paraboloid</t>
    <phoneticPr fontId="4" type="noConversion"/>
  </si>
  <si>
    <t>f-ratio after negative lens</t>
    <phoneticPr fontId="4" type="noConversion"/>
  </si>
  <si>
    <t>Angles etc…</t>
    <phoneticPr fontId="4" type="noConversion"/>
  </si>
  <si>
    <t>Large beam offset</t>
    <phoneticPr fontId="4" type="noConversion"/>
  </si>
  <si>
    <t>Small beam offset</t>
    <phoneticPr fontId="4" type="noConversion"/>
  </si>
  <si>
    <t>Neg mirror outer edge offset</t>
    <phoneticPr fontId="4" type="noConversion"/>
  </si>
  <si>
    <t>Angle neg mirror to DM</t>
    <phoneticPr fontId="4" type="noConversion"/>
  </si>
  <si>
    <t>Clearance between neg mirror and 20mm beam</t>
    <phoneticPr fontId="4" type="noConversion"/>
  </si>
  <si>
    <t>Distance DM mount to DM array</t>
    <phoneticPr fontId="4" type="noConversion"/>
  </si>
  <si>
    <t>Distance DM mount center to DM mount edge</t>
    <phoneticPr fontId="4" type="noConversion"/>
  </si>
  <si>
    <t>pupil outer edge angle</t>
    <phoneticPr fontId="4" type="noConversion"/>
  </si>
  <si>
    <t>pupil inner edge angle</t>
    <phoneticPr fontId="4" type="noConversion"/>
  </si>
  <si>
    <t>Neg mirror inner edge offset (x pos)</t>
    <phoneticPr fontId="4" type="noConversion"/>
  </si>
  <si>
    <t>Neg mirror center offet</t>
    <phoneticPr fontId="4" type="noConversion"/>
  </si>
  <si>
    <t>DM Center x offset</t>
    <phoneticPr fontId="4" type="noConversion"/>
  </si>
  <si>
    <t>DM Center z offset</t>
    <phoneticPr fontId="4" type="noConversion"/>
  </si>
  <si>
    <t>Small beam inner edge offset (x)</t>
    <phoneticPr fontId="4" type="noConversion"/>
  </si>
  <si>
    <t>Pupil Distance</t>
    <phoneticPr fontId="4" type="noConversion"/>
  </si>
  <si>
    <t>Primary f</t>
    <phoneticPr fontId="4" type="noConversion"/>
  </si>
  <si>
    <t>Pupil diameter</t>
    <phoneticPr fontId="4" type="noConversion"/>
  </si>
  <si>
    <t>f-ratio of BRT</t>
    <phoneticPr fontId="4" type="noConversion"/>
  </si>
  <si>
    <t>Derived Parameters</t>
    <phoneticPr fontId="4" type="noConversion"/>
  </si>
  <si>
    <t>Given Parameters</t>
    <phoneticPr fontId="4" type="noConversion"/>
  </si>
  <si>
    <t>Pupil Image size</t>
    <phoneticPr fontId="4" type="noConversion"/>
  </si>
  <si>
    <t>Negative focal length field mirror</t>
    <phoneticPr fontId="4" type="noConversion"/>
  </si>
  <si>
    <t>Notes</t>
    <phoneticPr fontId="4" type="noConversion"/>
  </si>
  <si>
    <t>Edmund Optics: 6.1, 7.75, 12.4, 15.5</t>
    <phoneticPr fontId="4" type="noConversion"/>
  </si>
  <si>
    <t>Pupil Diameter on DM</t>
    <phoneticPr fontId="4" type="noConversion"/>
  </si>
  <si>
    <t>Parameters in m/radians</t>
    <phoneticPr fontId="4" type="noConversion"/>
  </si>
  <si>
    <t>Parameters in mm/degrees</t>
    <phoneticPr fontId="4" type="noConversion"/>
  </si>
  <si>
    <t>Existing BRT secondary to focus</t>
    <phoneticPr fontId="4" type="noConversion"/>
  </si>
  <si>
    <t>Output Pupil</t>
    <phoneticPr fontId="4" type="noConversion"/>
  </si>
  <si>
    <t>Extra mount size allowance</t>
    <phoneticPr fontId="4" type="noConversion"/>
  </si>
  <si>
    <t>Total additional distance</t>
    <phoneticPr fontId="4" type="noConversion"/>
  </si>
  <si>
    <t>Paraboloid focal length</t>
    <phoneticPr fontId="4" type="noConversion"/>
  </si>
  <si>
    <t>Negative mirror distance before focus</t>
    <phoneticPr fontId="4" type="noConversion"/>
  </si>
  <si>
    <t>Pupil Image Position past neg. mirror</t>
    <phoneticPr fontId="4" type="noConversion"/>
  </si>
  <si>
    <t>Required negative focal length</t>
    <phoneticPr fontId="4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</si>
</sst>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11" fontId="0" fillId="0" borderId="0" xfId="0" applyNumberForma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65"/>
  <sheetViews>
    <sheetView tabSelected="1" topLeftCell="A19" workbookViewId="0">
      <selection activeCell="A67" sqref="A67"/>
    </sheetView>
  </sheetViews>
  <sheetFormatPr baseColWidth="10" defaultRowHeight="13"/>
  <cols>
    <col min="1" max="1" width="36.42578125" customWidth="1"/>
    <col min="2" max="3" width="24.140625" customWidth="1"/>
    <col min="4" max="4" width="56" customWidth="1"/>
  </cols>
  <sheetData>
    <row r="1" spans="1:4">
      <c r="A1" s="1" t="s">
        <v>45</v>
      </c>
      <c r="B1" t="s">
        <v>51</v>
      </c>
      <c r="C1" t="s">
        <v>52</v>
      </c>
      <c r="D1" t="s">
        <v>48</v>
      </c>
    </row>
    <row r="2" spans="1:4">
      <c r="A2" t="s">
        <v>40</v>
      </c>
      <c r="B2">
        <v>250</v>
      </c>
      <c r="C2">
        <f>B2*1000</f>
        <v>250000</v>
      </c>
      <c r="D2" t="s">
        <v>2</v>
      </c>
    </row>
    <row r="3" spans="1:4">
      <c r="A3" t="s">
        <v>41</v>
      </c>
      <c r="B3">
        <v>1.28</v>
      </c>
      <c r="C3">
        <f t="shared" ref="C3:C24" si="0">B3*1000</f>
        <v>1280</v>
      </c>
    </row>
    <row r="4" spans="1:4">
      <c r="A4" t="s">
        <v>42</v>
      </c>
      <c r="B4">
        <v>0.125</v>
      </c>
      <c r="C4">
        <f t="shared" si="0"/>
        <v>125</v>
      </c>
    </row>
    <row r="5" spans="1:4">
      <c r="A5" t="s">
        <v>47</v>
      </c>
      <c r="B5">
        <f>-12.4*0.001</f>
        <v>-1.2400000000000001E-2</v>
      </c>
      <c r="C5">
        <f t="shared" si="0"/>
        <v>-12.400000000000002</v>
      </c>
      <c r="D5" t="s">
        <v>49</v>
      </c>
    </row>
    <row r="6" spans="1:4">
      <c r="A6" t="s">
        <v>50</v>
      </c>
      <c r="B6" s="2">
        <v>2E-3</v>
      </c>
      <c r="C6">
        <f t="shared" si="0"/>
        <v>2</v>
      </c>
    </row>
    <row r="7" spans="1:4">
      <c r="A7" t="s">
        <v>54</v>
      </c>
      <c r="B7">
        <v>0.02</v>
      </c>
      <c r="C7">
        <f t="shared" si="0"/>
        <v>20</v>
      </c>
    </row>
    <row r="8" spans="1:4">
      <c r="A8" t="s">
        <v>58</v>
      </c>
      <c r="B8">
        <v>7.0000000000000007E-2</v>
      </c>
      <c r="C8">
        <f t="shared" si="0"/>
        <v>70</v>
      </c>
    </row>
    <row r="9" spans="1:4">
      <c r="C9">
        <f t="shared" si="0"/>
        <v>0</v>
      </c>
    </row>
    <row r="10" spans="1:4">
      <c r="C10">
        <f t="shared" si="0"/>
        <v>0</v>
      </c>
    </row>
    <row r="11" spans="1:4">
      <c r="A11" s="1" t="s">
        <v>44</v>
      </c>
      <c r="C11">
        <f t="shared" si="0"/>
        <v>0</v>
      </c>
    </row>
    <row r="12" spans="1:4">
      <c r="A12" t="s">
        <v>3</v>
      </c>
      <c r="B12">
        <f>1/(1/B3-1/B2) - B3</f>
        <v>6.5873271148277901E-3</v>
      </c>
      <c r="C12">
        <f t="shared" si="0"/>
        <v>6.5873271148277901</v>
      </c>
    </row>
    <row r="13" spans="1:4">
      <c r="A13" t="s">
        <v>59</v>
      </c>
      <c r="B13">
        <f>B12+B8</f>
        <v>7.6587327114827797E-2</v>
      </c>
      <c r="C13">
        <f>C12+C8</f>
        <v>76.587327114827787</v>
      </c>
    </row>
    <row r="14" spans="1:4">
      <c r="A14" t="s">
        <v>43</v>
      </c>
      <c r="B14">
        <f>B3/B4</f>
        <v>10.24</v>
      </c>
      <c r="C14">
        <f t="shared" si="0"/>
        <v>10240</v>
      </c>
    </row>
    <row r="15" spans="1:4">
      <c r="A15" t="s">
        <v>46</v>
      </c>
      <c r="B15">
        <f>B12/B14</f>
        <v>6.4329366355740138E-4</v>
      </c>
      <c r="C15">
        <f t="shared" si="0"/>
        <v>0.64329366355740136</v>
      </c>
    </row>
    <row r="16" spans="1:4">
      <c r="A16" t="s">
        <v>0</v>
      </c>
      <c r="B16" s="2">
        <f>B6*B14</f>
        <v>2.0480000000000002E-2</v>
      </c>
      <c r="C16">
        <f t="shared" si="0"/>
        <v>20.48</v>
      </c>
    </row>
    <row r="17" spans="1:3">
      <c r="A17" t="s">
        <v>1</v>
      </c>
      <c r="B17" s="2">
        <f>B8+B16</f>
        <v>9.0480000000000005E-2</v>
      </c>
      <c r="C17">
        <f t="shared" si="0"/>
        <v>90.48</v>
      </c>
    </row>
    <row r="18" spans="1:3">
      <c r="A18" t="s">
        <v>60</v>
      </c>
      <c r="B18" s="2">
        <f>1/(1/B17-1/B13)</f>
        <v>-0.49879684166073429</v>
      </c>
      <c r="C18">
        <f t="shared" si="0"/>
        <v>-498.79684166073429</v>
      </c>
    </row>
    <row r="19" spans="1:3">
      <c r="A19" t="s">
        <v>24</v>
      </c>
      <c r="B19" s="2">
        <f>B14/(1/B8+1/B18)/B8</f>
        <v>11.911654103663233</v>
      </c>
      <c r="C19">
        <f t="shared" si="0"/>
        <v>11911.654103663233</v>
      </c>
    </row>
    <row r="20" spans="1:3">
      <c r="A20" t="s">
        <v>53</v>
      </c>
      <c r="B20">
        <f>B7/B4*B3</f>
        <v>0.20480000000000001</v>
      </c>
      <c r="C20">
        <f t="shared" si="0"/>
        <v>204.8</v>
      </c>
    </row>
    <row r="21" spans="1:3">
      <c r="A21" t="s">
        <v>55</v>
      </c>
      <c r="B21" s="2">
        <v>0.05</v>
      </c>
      <c r="C21">
        <f t="shared" si="0"/>
        <v>50</v>
      </c>
    </row>
    <row r="22" spans="1:3">
      <c r="A22" t="s">
        <v>56</v>
      </c>
      <c r="B22" s="2">
        <f>B20+B21</f>
        <v>0.25480000000000003</v>
      </c>
      <c r="C22">
        <f t="shared" si="0"/>
        <v>254.80000000000004</v>
      </c>
    </row>
    <row r="23" spans="1:3">
      <c r="A23" t="s">
        <v>57</v>
      </c>
      <c r="B23" s="2">
        <f>B7*B19</f>
        <v>0.23823308207326466</v>
      </c>
      <c r="C23">
        <f t="shared" si="0"/>
        <v>238.23308207326465</v>
      </c>
    </row>
    <row r="24" spans="1:3">
      <c r="A24" t="s">
        <v>23</v>
      </c>
      <c r="B24" s="2">
        <f>B23-B16</f>
        <v>0.21775308207326466</v>
      </c>
      <c r="C24">
        <f t="shared" si="0"/>
        <v>217.75308207326466</v>
      </c>
    </row>
    <row r="29" spans="1:3">
      <c r="A29" s="1" t="s">
        <v>25</v>
      </c>
    </row>
    <row r="30" spans="1:3">
      <c r="A30" s="3" t="s">
        <v>31</v>
      </c>
      <c r="B30">
        <f>10.9/1000</f>
        <v>1.09E-2</v>
      </c>
    </row>
    <row r="31" spans="1:3">
      <c r="A31" s="3" t="s">
        <v>32</v>
      </c>
      <c r="B31">
        <f>40.4/1000</f>
        <v>4.0399999999999998E-2</v>
      </c>
    </row>
    <row r="32" spans="1:3">
      <c r="A32" s="3" t="s">
        <v>29</v>
      </c>
      <c r="B32">
        <f>RADIANS(C32)</f>
        <v>0.95993108859688125</v>
      </c>
      <c r="C32">
        <v>55</v>
      </c>
    </row>
    <row r="33" spans="1:3">
      <c r="A33" t="s">
        <v>26</v>
      </c>
      <c r="B33">
        <v>0.11</v>
      </c>
    </row>
    <row r="34" spans="1:3">
      <c r="A34" t="s">
        <v>15</v>
      </c>
      <c r="B34">
        <f>RADIANS(C34)</f>
        <v>0.2530727415391778</v>
      </c>
      <c r="C34">
        <v>14.5</v>
      </c>
    </row>
    <row r="36" spans="1:3">
      <c r="A36" t="s">
        <v>27</v>
      </c>
      <c r="B36">
        <f>B33*B7/B4</f>
        <v>1.7600000000000001E-2</v>
      </c>
      <c r="C36">
        <f t="shared" ref="C36" si="1">B36*1000</f>
        <v>17.600000000000001</v>
      </c>
    </row>
    <row r="37" spans="1:3">
      <c r="A37" t="s">
        <v>33</v>
      </c>
      <c r="B37">
        <f>ATAN((B33+B4/2)/B3)</f>
        <v>0.13395854083353742</v>
      </c>
      <c r="C37">
        <f>DEGREES(B37)</f>
        <v>7.6752590194925947</v>
      </c>
    </row>
    <row r="38" spans="1:3">
      <c r="A38" t="s">
        <v>13</v>
      </c>
      <c r="B38">
        <f>ATAN(B33/B3)</f>
        <v>8.5726875770744809E-2</v>
      </c>
      <c r="C38">
        <f>DEGREES(B38)</f>
        <v>4.911788172505994</v>
      </c>
    </row>
    <row r="39" spans="1:3">
      <c r="A39" t="s">
        <v>34</v>
      </c>
      <c r="B39">
        <f>ATAN((B33-B4/2)/B3)</f>
        <v>3.7092354550391816E-2</v>
      </c>
      <c r="C39">
        <f>DEGREES(B39)</f>
        <v>2.1252353679403253</v>
      </c>
    </row>
    <row r="40" spans="1:3">
      <c r="A40" t="s">
        <v>35</v>
      </c>
      <c r="B40">
        <f>-TAN(B39)*B8</f>
        <v>-2.5976562500000001E-3</v>
      </c>
    </row>
    <row r="41" spans="1:3">
      <c r="A41" t="s">
        <v>36</v>
      </c>
      <c r="B41">
        <f>-B33/B3*B8</f>
        <v>-6.0156250000000001E-3</v>
      </c>
    </row>
    <row r="42" spans="1:3">
      <c r="A42" t="s">
        <v>28</v>
      </c>
      <c r="B42">
        <f>-TAN(B37)*B8</f>
        <v>-9.4335937500000036E-3</v>
      </c>
    </row>
    <row r="43" spans="1:3">
      <c r="A43" t="s">
        <v>39</v>
      </c>
      <c r="B43">
        <f>-B36+B7/2</f>
        <v>-7.6000000000000009E-3</v>
      </c>
    </row>
    <row r="44" spans="1:3">
      <c r="A44" t="s">
        <v>30</v>
      </c>
      <c r="B44">
        <f>B43-B42</f>
        <v>1.8335937500000028E-3</v>
      </c>
      <c r="C44">
        <f>B44*1000</f>
        <v>1.8335937500000028</v>
      </c>
    </row>
    <row r="45" spans="1:3">
      <c r="A45" t="s">
        <v>37</v>
      </c>
      <c r="B45" s="2">
        <f>B17*SIN(B32) + B41</f>
        <v>6.8101251967267976E-2</v>
      </c>
    </row>
    <row r="46" spans="1:3">
      <c r="A46" t="s">
        <v>38</v>
      </c>
      <c r="B46" s="2">
        <f>B8+COS(B32)*B17</f>
        <v>0.12189719596104268</v>
      </c>
    </row>
    <row r="47" spans="1:3">
      <c r="A47" t="s">
        <v>14</v>
      </c>
      <c r="B47">
        <f>ASIN((B45+B36)/B24)</f>
        <v>0.40451264819675548</v>
      </c>
      <c r="C47">
        <f>DEGREES(B47)</f>
        <v>23.176867501334339</v>
      </c>
    </row>
    <row r="48" spans="1:3">
      <c r="A48" t="s">
        <v>9</v>
      </c>
      <c r="B48">
        <f>(B47+B32)/2</f>
        <v>0.68222186839681842</v>
      </c>
      <c r="C48">
        <f>DEGREES(B48)</f>
        <v>39.088433750667171</v>
      </c>
    </row>
    <row r="49" spans="1:4">
      <c r="A49" t="s">
        <v>10</v>
      </c>
      <c r="B49" s="2">
        <f>B45-B31*COS(B48)-B30*SIN(B48)</f>
        <v>2.9871175706950227E-2</v>
      </c>
    </row>
    <row r="50" spans="1:4">
      <c r="A50" t="s">
        <v>11</v>
      </c>
      <c r="B50" s="2">
        <f>B46 + B31*SIN(B48)+B30*COS(B48)</f>
        <v>0.15583046239264042</v>
      </c>
    </row>
    <row r="51" spans="1:4">
      <c r="A51" t="s">
        <v>12</v>
      </c>
      <c r="B51" s="2">
        <f>B49 + B50*TAN(B39)</f>
        <v>3.5653946772302117E-2</v>
      </c>
    </row>
    <row r="52" spans="1:4">
      <c r="A52" t="s">
        <v>16</v>
      </c>
      <c r="B52" s="2">
        <f>B45-B24*SIN(B34)</f>
        <v>1.3580234394896848E-2</v>
      </c>
      <c r="C52">
        <f t="shared" ref="C52" si="2">B52*1000</f>
        <v>13.580234394896848</v>
      </c>
      <c r="D52" t="s">
        <v>20</v>
      </c>
    </row>
    <row r="53" spans="1:4">
      <c r="A53" t="s">
        <v>17</v>
      </c>
      <c r="B53">
        <f>(B34+B32)/2</f>
        <v>0.60650191506802953</v>
      </c>
      <c r="C53">
        <f>DEGREES(B53)</f>
        <v>34.75</v>
      </c>
    </row>
    <row r="54" spans="1:4">
      <c r="A54" t="s">
        <v>18</v>
      </c>
      <c r="B54" s="2">
        <f>B45 - B31*COS(B53)-B30*SIN(B53)</f>
        <v>2.8693750962104862E-2</v>
      </c>
    </row>
    <row r="55" spans="1:4">
      <c r="A55" t="s">
        <v>19</v>
      </c>
      <c r="B55" s="2">
        <f>B54-B52-B7/2</f>
        <v>5.1135165672080134E-3</v>
      </c>
    </row>
    <row r="56" spans="1:4">
      <c r="A56" t="s">
        <v>21</v>
      </c>
      <c r="B56" s="2">
        <f>B52-B7/2+B8*TAN(B39)</f>
        <v>6.1778906448968478E-3</v>
      </c>
    </row>
    <row r="57" spans="1:4">
      <c r="A57" t="s">
        <v>22</v>
      </c>
    </row>
    <row r="61" spans="1:4">
      <c r="A61" s="4" t="s">
        <v>4</v>
      </c>
    </row>
    <row r="62" spans="1:4">
      <c r="A62" t="s">
        <v>5</v>
      </c>
      <c r="B62">
        <f>DEGREES(ATAN((111.46-104)/90.5))</f>
        <v>4.7122910707777041</v>
      </c>
    </row>
    <row r="63" spans="1:4">
      <c r="A63" t="s">
        <v>6</v>
      </c>
      <c r="B63">
        <f>(C32 - B62)/2</f>
        <v>25.143854464611149</v>
      </c>
    </row>
    <row r="64" spans="1:4">
      <c r="A64" t="s">
        <v>7</v>
      </c>
      <c r="B64">
        <f>C32-C53</f>
        <v>20.25</v>
      </c>
    </row>
    <row r="65" spans="1:2">
      <c r="A65" t="s">
        <v>8</v>
      </c>
      <c r="B65">
        <f>C24*2</f>
        <v>435.50616414652933</v>
      </c>
    </row>
  </sheetData>
  <sheetCalcPr fullCalcOnLoad="1"/>
  <phoneticPr fontId="4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AAO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Ireland</dc:creator>
  <cp:lastModifiedBy>Mike Ireland</cp:lastModifiedBy>
  <dcterms:created xsi:type="dcterms:W3CDTF">2011-12-18T21:50:31Z</dcterms:created>
  <dcterms:modified xsi:type="dcterms:W3CDTF">2012-02-05T09:55:39Z</dcterms:modified>
</cp:coreProperties>
</file>